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Principal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Suivi Dépenses" sheetId="3" state="visible" r:id="rId3"/>
    <sheet xmlns:r="http://schemas.openxmlformats.org/officeDocument/2006/relationships" name="Analy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66666"/>
      <sz val="10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1E3A8A"/>
      <sz val="12"/>
    </font>
    <font>
      <name val="Calibri"/>
      <b val="1"/>
      <color rgb="00FFFFFF"/>
      <sz val="12"/>
    </font>
    <font>
      <name val="Calibri"/>
      <b val="1"/>
      <color rgb="001E3A8A"/>
      <sz val="16"/>
    </font>
  </fonts>
  <fills count="5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0" pivotButton="0" quotePrefix="0" xfId="0"/>
    <xf numFmtId="0" fontId="4" fillId="0" borderId="1" pivotButton="0" quotePrefix="0" xfId="0"/>
    <xf numFmtId="0" fontId="5" fillId="3" borderId="0" pivotButton="0" quotePrefix="0" xfId="0"/>
    <xf numFmtId="166" fontId="6" fillId="0" borderId="1" pivotButton="0" quotePrefix="0" xfId="0"/>
    <xf numFmtId="165" fontId="4" fillId="0" borderId="1" pivotButton="0" quotePrefix="0" xfId="0"/>
    <xf numFmtId="167" fontId="6" fillId="0" borderId="1" pivotButton="0" quotePrefix="0" xfId="0"/>
    <xf numFmtId="0" fontId="7" fillId="4" borderId="1" applyAlignment="1" pivotButton="0" quotePrefix="0" xfId="0">
      <alignment horizontal="center" vertical="center" wrapText="1"/>
    </xf>
    <xf numFmtId="0" fontId="6" fillId="2" borderId="1" pivotButton="0" quotePrefix="0" xfId="0"/>
    <xf numFmtId="0" fontId="0" fillId="2" borderId="1" pivotButton="0" quotePrefix="0" xfId="0"/>
    <xf numFmtId="0" fontId="4" fillId="0" borderId="1" applyAlignment="1" pivotButton="0" quotePrefix="0" xfId="0">
      <alignment horizontal="center"/>
    </xf>
    <xf numFmtId="166" fontId="4" fillId="0" borderId="1" applyAlignment="1" pivotButton="0" quotePrefix="0" xfId="0">
      <alignment horizontal="right"/>
    </xf>
    <xf numFmtId="0" fontId="4" fillId="2" borderId="1" pivotButton="0" quotePrefix="0" xfId="0"/>
    <xf numFmtId="0" fontId="7" fillId="4" borderId="1" pivotButton="0" quotePrefix="0" xfId="0"/>
    <xf numFmtId="166" fontId="7" fillId="4" borderId="1" pivotButton="0" quotePrefix="0" xfId="0"/>
    <xf numFmtId="0" fontId="8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5" fillId="3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center"/>
    </xf>
    <xf numFmtId="0" fontId="7" fillId="4" borderId="1" applyAlignment="1" pivotButton="0" quotePrefix="0" xfId="0">
      <alignment horizontal="center" vertical="center"/>
    </xf>
    <xf numFmtId="166" fontId="4" fillId="0" borderId="1" pivotButton="0" quotePrefix="0" xfId="0"/>
    <xf numFmtId="0" fontId="7" fillId="4" borderId="1" applyAlignment="1" pivotButton="0" quotePrefix="0" xfId="0">
      <alignment horizontal="center"/>
    </xf>
    <xf numFmtId="167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Budget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'Analyse'!B3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'Analyse'!$A$4:$A$10</f>
            </numRef>
          </cat>
          <val>
            <numRef>
              <f>'Analyse'!$B$4:$B$10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 Dépenses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'Analyse'!B3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'Analyse'!$A$4:$A$10</f>
            </numRef>
          </cat>
          <val>
            <numRef>
              <f>'Analyse'!$B$4:$B$10</f>
            </numRef>
          </val>
        </ser>
        <ser>
          <idx val="1"/>
          <order val="1"/>
          <tx>
            <strRef>
              <f>'Analyse'!C3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'Analyse'!$A$4:$A$10</f>
            </numRef>
          </cat>
          <val>
            <numRef>
              <f>'Analyse'!$C$4:$C$10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22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7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12" customWidth="1" min="3" max="3"/>
    <col width="15" customWidth="1" min="4" max="4"/>
    <col width="15" customWidth="1" min="5" max="5"/>
    <col width="15" customWidth="1" min="6" max="6"/>
    <col width="15" customWidth="1" min="7" max="7"/>
    <col width="18" customWidth="1" min="8" max="8"/>
  </cols>
  <sheetData>
    <row r="1" ht="30" customHeight="1">
      <c r="A1" s="1" t="inlineStr">
        <is>
          <t>BUDGET DE PRODUCTION - SPECTACLE</t>
        </is>
      </c>
    </row>
    <row r="2">
      <c r="A2" s="2" t="inlineStr">
        <is>
          <t>Créé le : 11/01/2026</t>
        </is>
      </c>
    </row>
    <row r="4">
      <c r="A4" s="3" t="inlineStr">
        <is>
          <t>NOM DU SPECTACLE:</t>
        </is>
      </c>
      <c r="B4" s="4" t="inlineStr">
        <is>
          <t>Mon Spectacle 2024</t>
        </is>
      </c>
      <c r="E4" s="5" t="inlineStr">
        <is>
          <t>BUDGET TOTAL:</t>
        </is>
      </c>
      <c r="F4" s="6">
        <f>E77</f>
        <v/>
      </c>
    </row>
    <row r="5">
      <c r="A5" s="3" t="inlineStr">
        <is>
          <t>TYPE:</t>
        </is>
      </c>
      <c r="B5" s="4" t="inlineStr">
        <is>
          <t>Théâtre / Musique / Danse</t>
        </is>
      </c>
      <c r="E5" s="5" t="inlineStr">
        <is>
          <t>DÉPENSÉ:</t>
        </is>
      </c>
      <c r="F5" s="6">
        <f>F77</f>
        <v/>
      </c>
    </row>
    <row r="6">
      <c r="A6" s="3" t="inlineStr">
        <is>
          <t>LIEU:</t>
        </is>
      </c>
      <c r="B6" s="4" t="inlineStr">
        <is>
          <t>Salle Principale</t>
        </is>
      </c>
      <c r="E6" s="5" t="inlineStr">
        <is>
          <t>RESTANT:</t>
        </is>
      </c>
      <c r="F6" s="6">
        <f>G77</f>
        <v/>
      </c>
    </row>
    <row r="7">
      <c r="A7" s="3" t="inlineStr">
        <is>
          <t>DATE:</t>
        </is>
      </c>
      <c r="B7" s="7" t="n">
        <v>46123.4476416851</v>
      </c>
      <c r="E7" s="5" t="inlineStr">
        <is>
          <t>% UTILISÉ:</t>
        </is>
      </c>
      <c r="F7" s="8">
        <f>IF(F4&gt;0,F5/F4,0)</f>
        <v/>
      </c>
    </row>
    <row r="9" ht="35" customHeight="1">
      <c r="A9" s="9" t="inlineStr">
        <is>
          <t>CATÉGORIE</t>
        </is>
      </c>
      <c r="B9" s="9" t="inlineStr">
        <is>
          <t>POSTE BUDGÉTAIRE</t>
        </is>
      </c>
      <c r="C9" s="9" t="inlineStr">
        <is>
          <t>QUANTITÉ</t>
        </is>
      </c>
      <c r="D9" s="9" t="inlineStr">
        <is>
          <t>COÛT UNITAIRE</t>
        </is>
      </c>
      <c r="E9" s="9" t="inlineStr">
        <is>
          <t>BUDGET PRÉVU</t>
        </is>
      </c>
      <c r="F9" s="9" t="inlineStr">
        <is>
          <t>DÉPENSÉ</t>
        </is>
      </c>
      <c r="G9" s="9" t="inlineStr">
        <is>
          <t>ÉCART</t>
        </is>
      </c>
      <c r="H9" s="9" t="inlineStr">
        <is>
          <t>STATUT</t>
        </is>
      </c>
    </row>
    <row r="10">
      <c r="A10" s="10" t="inlineStr">
        <is>
          <t>1. RESSOURCES HUMAINES</t>
        </is>
      </c>
      <c r="B10" s="11" t="n"/>
      <c r="C10" s="11" t="n"/>
      <c r="D10" s="11" t="n"/>
      <c r="E10" s="11" t="n"/>
      <c r="F10" s="11" t="n"/>
      <c r="G10" s="11" t="n"/>
      <c r="H10" s="11" t="n"/>
    </row>
    <row r="11">
      <c r="A11" s="4" t="n"/>
      <c r="B11" s="4" t="inlineStr">
        <is>
          <t>Metteur en scène</t>
        </is>
      </c>
      <c r="C11" s="12" t="n">
        <v>1</v>
      </c>
      <c r="D11" s="13" t="n">
        <v>5000</v>
      </c>
      <c r="E11" s="13">
        <f>C11*D11</f>
        <v/>
      </c>
      <c r="F11" s="13">
        <f>E11*0.16</f>
        <v/>
      </c>
      <c r="G11" s="13">
        <f>E11-F11</f>
        <v/>
      </c>
      <c r="H11" s="4">
        <f>IF(G11&gt;0,"✓ Conforme",IF(G11=0,"= Budget","⚠ Dépassement"))</f>
        <v/>
      </c>
    </row>
    <row r="12">
      <c r="A12" s="14" t="n"/>
      <c r="B12" s="4" t="inlineStr">
        <is>
          <t>Chorégraphe</t>
        </is>
      </c>
      <c r="C12" s="12" t="n">
        <v>1</v>
      </c>
      <c r="D12" s="13" t="n">
        <v>3500</v>
      </c>
      <c r="E12" s="13">
        <f>C12*D12</f>
        <v/>
      </c>
      <c r="F12" s="13">
        <f>E12*1.17</f>
        <v/>
      </c>
      <c r="G12" s="13">
        <f>E12-F12</f>
        <v/>
      </c>
      <c r="H12" s="4">
        <f>IF(G12&gt;0,"✓ Conforme",IF(G12=0,"= Budget","⚠ Dépassement"))</f>
        <v/>
      </c>
    </row>
    <row r="13">
      <c r="A13" s="4" t="n"/>
      <c r="B13" s="4" t="inlineStr">
        <is>
          <t>Directeur musical</t>
        </is>
      </c>
      <c r="C13" s="12" t="n">
        <v>1</v>
      </c>
      <c r="D13" s="13" t="n">
        <v>4000</v>
      </c>
      <c r="E13" s="13">
        <f>C13*D13</f>
        <v/>
      </c>
      <c r="F13" s="13">
        <f>E13*0.35</f>
        <v/>
      </c>
      <c r="G13" s="13">
        <f>E13-F13</f>
        <v/>
      </c>
      <c r="H13" s="4">
        <f>IF(G13&gt;0,"✓ Conforme",IF(G13=0,"= Budget","⚠ Dépassement"))</f>
        <v/>
      </c>
    </row>
    <row r="14">
      <c r="A14" s="14" t="n"/>
      <c r="B14" s="4" t="inlineStr">
        <is>
          <t>Comédiens principaux</t>
        </is>
      </c>
      <c r="C14" s="12" t="n">
        <v>4</v>
      </c>
      <c r="D14" s="13" t="n">
        <v>2500</v>
      </c>
      <c r="E14" s="13">
        <f>C14*D14</f>
        <v/>
      </c>
      <c r="F14" s="13">
        <f>E14*1.19</f>
        <v/>
      </c>
      <c r="G14" s="13">
        <f>E14-F14</f>
        <v/>
      </c>
      <c r="H14" s="4">
        <f>IF(G14&gt;0,"✓ Conforme",IF(G14=0,"= Budget","⚠ Dépassement"))</f>
        <v/>
      </c>
    </row>
    <row r="15">
      <c r="A15" s="4" t="n"/>
      <c r="B15" s="4" t="inlineStr">
        <is>
          <t>Comédiens secondaires</t>
        </is>
      </c>
      <c r="C15" s="12" t="n">
        <v>6</v>
      </c>
      <c r="D15" s="13" t="n">
        <v>1500</v>
      </c>
      <c r="E15" s="13">
        <f>C15*D15</f>
        <v/>
      </c>
      <c r="F15" s="13">
        <f>E15*1.13</f>
        <v/>
      </c>
      <c r="G15" s="13">
        <f>E15-F15</f>
        <v/>
      </c>
      <c r="H15" s="4">
        <f>IF(G15&gt;0,"✓ Conforme",IF(G15=0,"= Budget","⚠ Dépassement"))</f>
        <v/>
      </c>
    </row>
    <row r="16">
      <c r="A16" s="14" t="n"/>
      <c r="B16" s="4" t="inlineStr">
        <is>
          <t>Musiciens</t>
        </is>
      </c>
      <c r="C16" s="12" t="n">
        <v>8</v>
      </c>
      <c r="D16" s="13" t="n">
        <v>800</v>
      </c>
      <c r="E16" s="13">
        <f>C16*D16</f>
        <v/>
      </c>
      <c r="F16" s="13">
        <f>E16*0.51</f>
        <v/>
      </c>
      <c r="G16" s="13">
        <f>E16-F16</f>
        <v/>
      </c>
      <c r="H16" s="4">
        <f>IF(G16&gt;0,"✓ Conforme",IF(G16=0,"= Budget","⚠ Dépassement"))</f>
        <v/>
      </c>
    </row>
    <row r="17">
      <c r="A17" s="4" t="n"/>
      <c r="B17" s="4" t="inlineStr">
        <is>
          <t>Danseurs</t>
        </is>
      </c>
      <c r="C17" s="12" t="n">
        <v>10</v>
      </c>
      <c r="D17" s="13" t="n">
        <v>1200</v>
      </c>
      <c r="E17" s="13">
        <f>C17*D17</f>
        <v/>
      </c>
      <c r="F17" s="13">
        <f>E17*0.66</f>
        <v/>
      </c>
      <c r="G17" s="13">
        <f>E17-F17</f>
        <v/>
      </c>
      <c r="H17" s="4">
        <f>IF(G17&gt;0,"✓ Conforme",IF(G17=0,"= Budget","⚠ Dépassement"))</f>
        <v/>
      </c>
    </row>
    <row r="18">
      <c r="A18" s="14" t="n"/>
      <c r="B18" s="4" t="inlineStr">
        <is>
          <t>Techniciens lumière</t>
        </is>
      </c>
      <c r="C18" s="12" t="n">
        <v>3</v>
      </c>
      <c r="D18" s="13" t="n">
        <v>1800</v>
      </c>
      <c r="E18" s="13">
        <f>C18*D18</f>
        <v/>
      </c>
      <c r="F18" s="13">
        <f>E18*0.02</f>
        <v/>
      </c>
      <c r="G18" s="13">
        <f>E18-F18</f>
        <v/>
      </c>
      <c r="H18" s="4">
        <f>IF(G18&gt;0,"✓ Conforme",IF(G18=0,"= Budget","⚠ Dépassement"))</f>
        <v/>
      </c>
    </row>
    <row r="19">
      <c r="A19" s="4" t="n"/>
      <c r="B19" s="4" t="inlineStr">
        <is>
          <t>Techniciens son</t>
        </is>
      </c>
      <c r="C19" s="12" t="n">
        <v>3</v>
      </c>
      <c r="D19" s="13" t="n">
        <v>1800</v>
      </c>
      <c r="E19" s="13">
        <f>C19*D19</f>
        <v/>
      </c>
      <c r="F19" s="13">
        <f>E19*0.08</f>
        <v/>
      </c>
      <c r="G19" s="13">
        <f>E19-F19</f>
        <v/>
      </c>
      <c r="H19" s="4">
        <f>IF(G19&gt;0,"✓ Conforme",IF(G19=0,"= Budget","⚠ Dépassement"))</f>
        <v/>
      </c>
    </row>
    <row r="20">
      <c r="A20" s="14" t="n"/>
      <c r="B20" s="4" t="inlineStr">
        <is>
          <t>Machinistes</t>
        </is>
      </c>
      <c r="C20" s="12" t="n">
        <v>4</v>
      </c>
      <c r="D20" s="13" t="n">
        <v>1500</v>
      </c>
      <c r="E20" s="13">
        <f>C20*D20</f>
        <v/>
      </c>
      <c r="F20" s="13">
        <f>E20*0.87</f>
        <v/>
      </c>
      <c r="G20" s="13">
        <f>E20-F20</f>
        <v/>
      </c>
      <c r="H20" s="4">
        <f>IF(G20&gt;0,"✓ Conforme",IF(G20=0,"= Budget","⚠ Dépassement"))</f>
        <v/>
      </c>
    </row>
    <row r="21">
      <c r="A21" s="4" t="n"/>
      <c r="B21" s="4" t="inlineStr">
        <is>
          <t>Costumiers</t>
        </is>
      </c>
      <c r="C21" s="12" t="n">
        <v>2</v>
      </c>
      <c r="D21" s="13" t="n">
        <v>2000</v>
      </c>
      <c r="E21" s="13">
        <f>C21*D21</f>
        <v/>
      </c>
      <c r="F21" s="13">
        <f>E21*0.17</f>
        <v/>
      </c>
      <c r="G21" s="13">
        <f>E21-F21</f>
        <v/>
      </c>
      <c r="H21" s="4">
        <f>IF(G21&gt;0,"✓ Conforme",IF(G21=0,"= Budget","⚠ Dépassement"))</f>
        <v/>
      </c>
    </row>
    <row r="22">
      <c r="A22" s="14" t="n"/>
      <c r="B22" s="4" t="inlineStr">
        <is>
          <t>Maquilleurs</t>
        </is>
      </c>
      <c r="C22" s="12" t="n">
        <v>2</v>
      </c>
      <c r="D22" s="13" t="n">
        <v>1500</v>
      </c>
      <c r="E22" s="13">
        <f>C22*D22</f>
        <v/>
      </c>
      <c r="F22" s="13">
        <f>E22*1.06</f>
        <v/>
      </c>
      <c r="G22" s="13">
        <f>E22-F22</f>
        <v/>
      </c>
      <c r="H22" s="4">
        <f>IF(G22&gt;0,"✓ Conforme",IF(G22=0,"= Budget","⚠ Dépassement"))</f>
        <v/>
      </c>
    </row>
    <row r="24">
      <c r="A24" s="10" t="inlineStr">
        <is>
          <t>2. CRÉATION &amp; PRODUCTION</t>
        </is>
      </c>
      <c r="B24" s="11" t="n"/>
      <c r="C24" s="11" t="n"/>
      <c r="D24" s="11" t="n"/>
      <c r="E24" s="11" t="n"/>
      <c r="F24" s="11" t="n"/>
      <c r="G24" s="11" t="n"/>
      <c r="H24" s="11" t="n"/>
    </row>
    <row r="25">
      <c r="A25" s="4" t="n"/>
      <c r="B25" s="4" t="inlineStr">
        <is>
          <t>Décors principaux</t>
        </is>
      </c>
      <c r="C25" s="12" t="n">
        <v>1</v>
      </c>
      <c r="D25" s="13" t="n">
        <v>15000</v>
      </c>
      <c r="E25" s="13">
        <f>C25*D25</f>
        <v/>
      </c>
      <c r="F25" s="13">
        <f>E25*1.18</f>
        <v/>
      </c>
      <c r="G25" s="13">
        <f>E25-F25</f>
        <v/>
      </c>
      <c r="H25" s="4">
        <f>IF(G25&gt;0,"✓ Conforme",IF(G25=0,"= Budget","⚠ Dépassement"))</f>
        <v/>
      </c>
    </row>
    <row r="26">
      <c r="A26" s="14" t="n"/>
      <c r="B26" s="4" t="inlineStr">
        <is>
          <t>Accessoires</t>
        </is>
      </c>
      <c r="C26" s="12" t="n">
        <v>1</v>
      </c>
      <c r="D26" s="13" t="n">
        <v>5000</v>
      </c>
      <c r="E26" s="13">
        <f>C26*D26</f>
        <v/>
      </c>
      <c r="F26" s="13">
        <f>E26*0.65</f>
        <v/>
      </c>
      <c r="G26" s="13">
        <f>E26-F26</f>
        <v/>
      </c>
      <c r="H26" s="4">
        <f>IF(G26&gt;0,"✓ Conforme",IF(G26=0,"= Budget","⚠ Dépassement"))</f>
        <v/>
      </c>
    </row>
    <row r="27">
      <c r="A27" s="4" t="n"/>
      <c r="B27" s="4" t="inlineStr">
        <is>
          <t>Costumes</t>
        </is>
      </c>
      <c r="C27" s="12" t="n">
        <v>25</v>
      </c>
      <c r="D27" s="13" t="n">
        <v>400</v>
      </c>
      <c r="E27" s="13">
        <f>C27*D27</f>
        <v/>
      </c>
      <c r="F27" s="13">
        <f>E27*0.85</f>
        <v/>
      </c>
      <c r="G27" s="13">
        <f>E27-F27</f>
        <v/>
      </c>
      <c r="H27" s="4">
        <f>IF(G27&gt;0,"✓ Conforme",IF(G27=0,"= Budget","⚠ Dépassement"))</f>
        <v/>
      </c>
    </row>
    <row r="28">
      <c r="A28" s="14" t="n"/>
      <c r="B28" s="4" t="inlineStr">
        <is>
          <t>Perruques et maquillage</t>
        </is>
      </c>
      <c r="C28" s="12" t="n">
        <v>1</v>
      </c>
      <c r="D28" s="13" t="n">
        <v>3000</v>
      </c>
      <c r="E28" s="13">
        <f>C28*D28</f>
        <v/>
      </c>
      <c r="F28" s="13">
        <f>E28*0.38</f>
        <v/>
      </c>
      <c r="G28" s="13">
        <f>E28-F28</f>
        <v/>
      </c>
      <c r="H28" s="4">
        <f>IF(G28&gt;0,"✓ Conforme",IF(G28=0,"= Budget","⚠ Dépassement"))</f>
        <v/>
      </c>
    </row>
    <row r="29">
      <c r="A29" s="4" t="n"/>
      <c r="B29" s="4" t="inlineStr">
        <is>
          <t>Partitions musicales</t>
        </is>
      </c>
      <c r="C29" s="12" t="n">
        <v>1</v>
      </c>
      <c r="D29" s="13" t="n">
        <v>2000</v>
      </c>
      <c r="E29" s="13">
        <f>C29*D29</f>
        <v/>
      </c>
      <c r="F29" s="13">
        <f>E29*0.55</f>
        <v/>
      </c>
      <c r="G29" s="13">
        <f>E29-F29</f>
        <v/>
      </c>
      <c r="H29" s="4">
        <f>IF(G29&gt;0,"✓ Conforme",IF(G29=0,"= Budget","⚠ Dépassement"))</f>
        <v/>
      </c>
    </row>
    <row r="30">
      <c r="A30" s="14" t="n"/>
      <c r="B30" s="4" t="inlineStr">
        <is>
          <t>Enregistrements audio</t>
        </is>
      </c>
      <c r="C30" s="12" t="n">
        <v>1</v>
      </c>
      <c r="D30" s="13" t="n">
        <v>4000</v>
      </c>
      <c r="E30" s="13">
        <f>C30*D30</f>
        <v/>
      </c>
      <c r="F30" s="13">
        <f>E30*0.43</f>
        <v/>
      </c>
      <c r="G30" s="13">
        <f>E30-F30</f>
        <v/>
      </c>
      <c r="H30" s="4">
        <f>IF(G30&gt;0,"✓ Conforme",IF(G30=0,"= Budget","⚠ Dépassement"))</f>
        <v/>
      </c>
    </row>
    <row r="31">
      <c r="A31" s="4" t="n"/>
      <c r="B31" s="4" t="inlineStr">
        <is>
          <t>Éclairage spécial</t>
        </is>
      </c>
      <c r="C31" s="12" t="n">
        <v>1</v>
      </c>
      <c r="D31" s="13" t="n">
        <v>8000</v>
      </c>
      <c r="E31" s="13">
        <f>C31*D31</f>
        <v/>
      </c>
      <c r="F31" s="13">
        <f>E31*1.09</f>
        <v/>
      </c>
      <c r="G31" s="13">
        <f>E31-F31</f>
        <v/>
      </c>
      <c r="H31" s="4">
        <f>IF(G31&gt;0,"✓ Conforme",IF(G31=0,"= Budget","⚠ Dépassement"))</f>
        <v/>
      </c>
    </row>
    <row r="32">
      <c r="A32" s="14" t="n"/>
      <c r="B32" s="4" t="inlineStr">
        <is>
          <t>Effets spéciaux</t>
        </is>
      </c>
      <c r="C32" s="12" t="n">
        <v>1</v>
      </c>
      <c r="D32" s="13" t="n">
        <v>6000</v>
      </c>
      <c r="E32" s="13">
        <f>C32*D32</f>
        <v/>
      </c>
      <c r="F32" s="13">
        <f>E32*0.53</f>
        <v/>
      </c>
      <c r="G32" s="13">
        <f>E32-F32</f>
        <v/>
      </c>
      <c r="H32" s="4">
        <f>IF(G32&gt;0,"✓ Conforme",IF(G32=0,"= Budget","⚠ Dépassement"))</f>
        <v/>
      </c>
    </row>
    <row r="33">
      <c r="A33" s="4" t="n"/>
      <c r="B33" s="4" t="inlineStr">
        <is>
          <t>Matériel scénique</t>
        </is>
      </c>
      <c r="C33" s="12" t="n">
        <v>1</v>
      </c>
      <c r="D33" s="13" t="n">
        <v>7000</v>
      </c>
      <c r="E33" s="13">
        <f>C33*D33</f>
        <v/>
      </c>
      <c r="F33" s="13">
        <f>E33*0.93</f>
        <v/>
      </c>
      <c r="G33" s="13">
        <f>E33-F33</f>
        <v/>
      </c>
      <c r="H33" s="4">
        <f>IF(G33&gt;0,"✓ Conforme",IF(G33=0,"= Budget","⚠ Dépassement"))</f>
        <v/>
      </c>
    </row>
    <row r="35">
      <c r="A35" s="10" t="inlineStr">
        <is>
          <t>3. TECHNIQUE &amp; LOGISTIQUE</t>
        </is>
      </c>
      <c r="B35" s="11" t="n"/>
      <c r="C35" s="11" t="n"/>
      <c r="D35" s="11" t="n"/>
      <c r="E35" s="11" t="n"/>
      <c r="F35" s="11" t="n"/>
      <c r="G35" s="11" t="n"/>
      <c r="H35" s="11" t="n"/>
    </row>
    <row r="36">
      <c r="A36" s="14" t="n"/>
      <c r="B36" s="4" t="inlineStr">
        <is>
          <t>Location salle répétition</t>
        </is>
      </c>
      <c r="C36" s="12" t="n">
        <v>60</v>
      </c>
      <c r="D36" s="13" t="n">
        <v>300</v>
      </c>
      <c r="E36" s="13">
        <f>C36*D36</f>
        <v/>
      </c>
      <c r="F36" s="13">
        <f>E36*0.29</f>
        <v/>
      </c>
      <c r="G36" s="13">
        <f>E36-F36</f>
        <v/>
      </c>
      <c r="H36" s="4">
        <f>IF(G36&gt;0,"✓ Conforme",IF(G36=0,"= Budget","⚠ Dépassement"))</f>
        <v/>
      </c>
    </row>
    <row r="37">
      <c r="A37" s="4" t="n"/>
      <c r="B37" s="4" t="inlineStr">
        <is>
          <t>Location salle spectacle</t>
        </is>
      </c>
      <c r="C37" s="12" t="n">
        <v>20</v>
      </c>
      <c r="D37" s="13" t="n">
        <v>2500</v>
      </c>
      <c r="E37" s="13">
        <f>C37*D37</f>
        <v/>
      </c>
      <c r="F37" s="13">
        <f>E37*0.48</f>
        <v/>
      </c>
      <c r="G37" s="13">
        <f>E37-F37</f>
        <v/>
      </c>
      <c r="H37" s="4">
        <f>IF(G37&gt;0,"✓ Conforme",IF(G37=0,"= Budget","⚠ Dépassement"))</f>
        <v/>
      </c>
    </row>
    <row r="38">
      <c r="A38" s="14" t="n"/>
      <c r="B38" s="4" t="inlineStr">
        <is>
          <t>Système son</t>
        </is>
      </c>
      <c r="C38" s="12" t="n">
        <v>1</v>
      </c>
      <c r="D38" s="13" t="n">
        <v>12000</v>
      </c>
      <c r="E38" s="13">
        <f>C38*D38</f>
        <v/>
      </c>
      <c r="F38" s="13">
        <f>E38*0.26</f>
        <v/>
      </c>
      <c r="G38" s="13">
        <f>E38-F38</f>
        <v/>
      </c>
      <c r="H38" s="4">
        <f>IF(G38&gt;0,"✓ Conforme",IF(G38=0,"= Budget","⚠ Dépassement"))</f>
        <v/>
      </c>
    </row>
    <row r="39">
      <c r="A39" s="4" t="n"/>
      <c r="B39" s="4" t="inlineStr">
        <is>
          <t>Éclairage scénique</t>
        </is>
      </c>
      <c r="C39" s="12" t="n">
        <v>1</v>
      </c>
      <c r="D39" s="13" t="n">
        <v>15000</v>
      </c>
      <c r="E39" s="13">
        <f>C39*D39</f>
        <v/>
      </c>
      <c r="F39" s="13">
        <f>E39*1.16</f>
        <v/>
      </c>
      <c r="G39" s="13">
        <f>E39-F39</f>
        <v/>
      </c>
      <c r="H39" s="4">
        <f>IF(G39&gt;0,"✓ Conforme",IF(G39=0,"= Budget","⚠ Dépassement"))</f>
        <v/>
      </c>
    </row>
    <row r="40">
      <c r="A40" s="14" t="n"/>
      <c r="B40" s="4" t="inlineStr">
        <is>
          <t>Matériel vidéo</t>
        </is>
      </c>
      <c r="C40" s="12" t="n">
        <v>1</v>
      </c>
      <c r="D40" s="13" t="n">
        <v>8000</v>
      </c>
      <c r="E40" s="13">
        <f>C40*D40</f>
        <v/>
      </c>
      <c r="F40" s="13">
        <f>E40*0.97</f>
        <v/>
      </c>
      <c r="G40" s="13">
        <f>E40-F40</f>
        <v/>
      </c>
      <c r="H40" s="4">
        <f>IF(G40&gt;0,"✓ Conforme",IF(G40=0,"= Budget","⚠ Dépassement"))</f>
        <v/>
      </c>
    </row>
    <row r="41">
      <c r="A41" s="4" t="n"/>
      <c r="B41" s="4" t="inlineStr">
        <is>
          <t>Transport matériel</t>
        </is>
      </c>
      <c r="C41" s="12" t="n">
        <v>15</v>
      </c>
      <c r="D41" s="13" t="n">
        <v>800</v>
      </c>
      <c r="E41" s="13">
        <f>C41*D41</f>
        <v/>
      </c>
      <c r="F41" s="13">
        <f>E41*0.86</f>
        <v/>
      </c>
      <c r="G41" s="13">
        <f>E41-F41</f>
        <v/>
      </c>
      <c r="H41" s="4">
        <f>IF(G41&gt;0,"✓ Conforme",IF(G41=0,"= Budget","⚠ Dépassement"))</f>
        <v/>
      </c>
    </row>
    <row r="42">
      <c r="A42" s="14" t="n"/>
      <c r="B42" s="4" t="inlineStr">
        <is>
          <t>Stockage équipement</t>
        </is>
      </c>
      <c r="C42" s="12" t="n">
        <v>3</v>
      </c>
      <c r="D42" s="13" t="n">
        <v>600</v>
      </c>
      <c r="E42" s="13">
        <f>C42*D42</f>
        <v/>
      </c>
      <c r="F42" s="13">
        <f>E42*0.14</f>
        <v/>
      </c>
      <c r="G42" s="13">
        <f>E42-F42</f>
        <v/>
      </c>
      <c r="H42" s="4">
        <f>IF(G42&gt;0,"✓ Conforme",IF(G42=0,"= Budget","⚠ Dépassement"))</f>
        <v/>
      </c>
    </row>
    <row r="43">
      <c r="A43" s="4" t="n"/>
      <c r="B43" s="4" t="inlineStr">
        <is>
          <t>Assurances</t>
        </is>
      </c>
      <c r="C43" s="12" t="n">
        <v>1</v>
      </c>
      <c r="D43" s="13" t="n">
        <v>5000</v>
      </c>
      <c r="E43" s="13">
        <f>C43*D43</f>
        <v/>
      </c>
      <c r="F43" s="13">
        <f>E43*0.20</f>
        <v/>
      </c>
      <c r="G43" s="13">
        <f>E43-F43</f>
        <v/>
      </c>
      <c r="H43" s="4">
        <f>IF(G43&gt;0,"✓ Conforme",IF(G43=0,"= Budget","⚠ Dépassement"))</f>
        <v/>
      </c>
    </row>
    <row r="45">
      <c r="A45" s="10" t="inlineStr">
        <is>
          <t>4. COMMUNICATION &amp; MARKETING</t>
        </is>
      </c>
      <c r="B45" s="11" t="n"/>
      <c r="C45" s="11" t="n"/>
      <c r="D45" s="11" t="n"/>
      <c r="E45" s="11" t="n"/>
      <c r="F45" s="11" t="n"/>
      <c r="G45" s="11" t="n"/>
      <c r="H45" s="11" t="n"/>
    </row>
    <row r="46">
      <c r="A46" s="14" t="n"/>
      <c r="B46" s="4" t="inlineStr">
        <is>
          <t>Création visuelle</t>
        </is>
      </c>
      <c r="C46" s="12" t="n">
        <v>1</v>
      </c>
      <c r="D46" s="13" t="n">
        <v>3000</v>
      </c>
      <c r="E46" s="13">
        <f>C46*D46</f>
        <v/>
      </c>
      <c r="F46" s="13">
        <f>E46*0.77</f>
        <v/>
      </c>
      <c r="G46" s="13">
        <f>E46-F46</f>
        <v/>
      </c>
      <c r="H46" s="4">
        <f>IF(G46&gt;0,"✓ Conforme",IF(G46=0,"= Budget","⚠ Dépassement"))</f>
        <v/>
      </c>
    </row>
    <row r="47">
      <c r="A47" s="4" t="n"/>
      <c r="B47" s="4" t="inlineStr">
        <is>
          <t>Impression affiches</t>
        </is>
      </c>
      <c r="C47" s="12" t="n">
        <v>500</v>
      </c>
      <c r="D47" s="13" t="n">
        <v>8</v>
      </c>
      <c r="E47" s="13">
        <f>C47*D47</f>
        <v/>
      </c>
      <c r="F47" s="13">
        <f>E47*0.55</f>
        <v/>
      </c>
      <c r="G47" s="13">
        <f>E47-F47</f>
        <v/>
      </c>
      <c r="H47" s="4">
        <f>IF(G47&gt;0,"✓ Conforme",IF(G47=0,"= Budget","⚠ Dépassement"))</f>
        <v/>
      </c>
    </row>
    <row r="48">
      <c r="A48" s="14" t="n"/>
      <c r="B48" s="4" t="inlineStr">
        <is>
          <t>Impression flyers</t>
        </is>
      </c>
      <c r="C48" s="12" t="n">
        <v>5000</v>
      </c>
      <c r="D48" s="13" t="n">
        <v>0.5</v>
      </c>
      <c r="E48" s="13">
        <f>C48*D48</f>
        <v/>
      </c>
      <c r="F48" s="13">
        <f>E48*0.67</f>
        <v/>
      </c>
      <c r="G48" s="13">
        <f>E48-F48</f>
        <v/>
      </c>
      <c r="H48" s="4">
        <f>IF(G48&gt;0,"✓ Conforme",IF(G48=0,"= Budget","⚠ Dépassement"))</f>
        <v/>
      </c>
    </row>
    <row r="49">
      <c r="A49" s="4" t="n"/>
      <c r="B49" s="4" t="inlineStr">
        <is>
          <t>Publicité presse</t>
        </is>
      </c>
      <c r="C49" s="12" t="n">
        <v>1</v>
      </c>
      <c r="D49" s="13" t="n">
        <v>4000</v>
      </c>
      <c r="E49" s="13">
        <f>C49*D49</f>
        <v/>
      </c>
      <c r="F49" s="13">
        <f>E49*0.33</f>
        <v/>
      </c>
      <c r="G49" s="13">
        <f>E49-F49</f>
        <v/>
      </c>
      <c r="H49" s="4">
        <f>IF(G49&gt;0,"✓ Conforme",IF(G49=0,"= Budget","⚠ Dépassement"))</f>
        <v/>
      </c>
    </row>
    <row r="50">
      <c r="A50" s="14" t="n"/>
      <c r="B50" s="4" t="inlineStr">
        <is>
          <t>Publicité radio</t>
        </is>
      </c>
      <c r="C50" s="12" t="n">
        <v>1</v>
      </c>
      <c r="D50" s="13" t="n">
        <v>3500</v>
      </c>
      <c r="E50" s="13">
        <f>C50*D50</f>
        <v/>
      </c>
      <c r="F50" s="13">
        <f>E50*0.13</f>
        <v/>
      </c>
      <c r="G50" s="13">
        <f>E50-F50</f>
        <v/>
      </c>
      <c r="H50" s="4">
        <f>IF(G50&gt;0,"✓ Conforme",IF(G50=0,"= Budget","⚠ Dépassement"))</f>
        <v/>
      </c>
    </row>
    <row r="51">
      <c r="A51" s="4" t="n"/>
      <c r="B51" s="4" t="inlineStr">
        <is>
          <t>Réseaux sociaux</t>
        </is>
      </c>
      <c r="C51" s="12" t="n">
        <v>1</v>
      </c>
      <c r="D51" s="13" t="n">
        <v>2500</v>
      </c>
      <c r="E51" s="13">
        <f>C51*D51</f>
        <v/>
      </c>
      <c r="F51" s="13">
        <f>E51*1.01</f>
        <v/>
      </c>
      <c r="G51" s="13">
        <f>E51-F51</f>
        <v/>
      </c>
      <c r="H51" s="4">
        <f>IF(G51&gt;0,"✓ Conforme",IF(G51=0,"= Budget","⚠ Dépassement"))</f>
        <v/>
      </c>
    </row>
    <row r="52">
      <c r="A52" s="14" t="n"/>
      <c r="B52" s="4" t="inlineStr">
        <is>
          <t>Site web</t>
        </is>
      </c>
      <c r="C52" s="12" t="n">
        <v>1</v>
      </c>
      <c r="D52" s="13" t="n">
        <v>2000</v>
      </c>
      <c r="E52" s="13">
        <f>C52*D52</f>
        <v/>
      </c>
      <c r="F52" s="13">
        <f>E52*0.81</f>
        <v/>
      </c>
      <c r="G52" s="13">
        <f>E52-F52</f>
        <v/>
      </c>
      <c r="H52" s="4">
        <f>IF(G52&gt;0,"✓ Conforme",IF(G52=0,"= Budget","⚠ Dépassement"))</f>
        <v/>
      </c>
    </row>
    <row r="53">
      <c r="A53" s="4" t="n"/>
      <c r="B53" s="4" t="inlineStr">
        <is>
          <t>Relations presse</t>
        </is>
      </c>
      <c r="C53" s="12" t="n">
        <v>1</v>
      </c>
      <c r="D53" s="13" t="n">
        <v>3000</v>
      </c>
      <c r="E53" s="13">
        <f>C53*D53</f>
        <v/>
      </c>
      <c r="F53" s="13">
        <f>E53*0.63</f>
        <v/>
      </c>
      <c r="G53" s="13">
        <f>E53-F53</f>
        <v/>
      </c>
      <c r="H53" s="4">
        <f>IF(G53&gt;0,"✓ Conforme",IF(G53=0,"= Budget","⚠ Dépassement"))</f>
        <v/>
      </c>
    </row>
    <row r="54">
      <c r="A54" s="14" t="n"/>
      <c r="B54" s="4" t="inlineStr">
        <is>
          <t>Billetterie</t>
        </is>
      </c>
      <c r="C54" s="12" t="n">
        <v>1</v>
      </c>
      <c r="D54" s="13" t="n">
        <v>2000</v>
      </c>
      <c r="E54" s="13">
        <f>C54*D54</f>
        <v/>
      </c>
      <c r="F54" s="13">
        <f>E54*1.02</f>
        <v/>
      </c>
      <c r="G54" s="13">
        <f>E54-F54</f>
        <v/>
      </c>
      <c r="H54" s="4">
        <f>IF(G54&gt;0,"✓ Conforme",IF(G54=0,"= Budget","⚠ Dépassement"))</f>
        <v/>
      </c>
    </row>
    <row r="56">
      <c r="A56" s="10" t="inlineStr">
        <is>
          <t>5. ADMINISTRATION</t>
        </is>
      </c>
      <c r="B56" s="11" t="n"/>
      <c r="C56" s="11" t="n"/>
      <c r="D56" s="11" t="n"/>
      <c r="E56" s="11" t="n"/>
      <c r="F56" s="11" t="n"/>
      <c r="G56" s="11" t="n"/>
      <c r="H56" s="11" t="n"/>
    </row>
    <row r="57">
      <c r="A57" s="4" t="n"/>
      <c r="B57" s="4" t="inlineStr">
        <is>
          <t>Droits d'auteur</t>
        </is>
      </c>
      <c r="C57" s="12" t="n">
        <v>1</v>
      </c>
      <c r="D57" s="13" t="n">
        <v>8000</v>
      </c>
      <c r="E57" s="13">
        <f>C57*D57</f>
        <v/>
      </c>
      <c r="F57" s="13">
        <f>E57*0.46</f>
        <v/>
      </c>
      <c r="G57" s="13">
        <f>E57-F57</f>
        <v/>
      </c>
      <c r="H57" s="4">
        <f>IF(G57&gt;0,"✓ Conforme",IF(G57=0,"= Budget","⚠ Dépassement"))</f>
        <v/>
      </c>
    </row>
    <row r="58">
      <c r="A58" s="14" t="n"/>
      <c r="B58" s="4" t="inlineStr">
        <is>
          <t>Licences musique</t>
        </is>
      </c>
      <c r="C58" s="12" t="n">
        <v>1</v>
      </c>
      <c r="D58" s="13" t="n">
        <v>3500</v>
      </c>
      <c r="E58" s="13">
        <f>C58*D58</f>
        <v/>
      </c>
      <c r="F58" s="13">
        <f>E58*1.11</f>
        <v/>
      </c>
      <c r="G58" s="13">
        <f>E58-F58</f>
        <v/>
      </c>
      <c r="H58" s="4">
        <f>IF(G58&gt;0,"✓ Conforme",IF(G58=0,"= Budget","⚠ Dépassement"))</f>
        <v/>
      </c>
    </row>
    <row r="59">
      <c r="A59" s="4" t="n"/>
      <c r="B59" s="4" t="inlineStr">
        <is>
          <t>SACEM</t>
        </is>
      </c>
      <c r="C59" s="12" t="n">
        <v>1</v>
      </c>
      <c r="D59" s="13" t="n">
        <v>2500</v>
      </c>
      <c r="E59" s="13">
        <f>C59*D59</f>
        <v/>
      </c>
      <c r="F59" s="13">
        <f>E59*1.04</f>
        <v/>
      </c>
      <c r="G59" s="13">
        <f>E59-F59</f>
        <v/>
      </c>
      <c r="H59" s="4">
        <f>IF(G59&gt;0,"✓ Conforme",IF(G59=0,"= Budget","⚠ Dépassement"))</f>
        <v/>
      </c>
    </row>
    <row r="60">
      <c r="A60" s="14" t="n"/>
      <c r="B60" s="4" t="inlineStr">
        <is>
          <t>Comptabilité</t>
        </is>
      </c>
      <c r="C60" s="12" t="n">
        <v>1</v>
      </c>
      <c r="D60" s="13" t="n">
        <v>3000</v>
      </c>
      <c r="E60" s="13">
        <f>C60*D60</f>
        <v/>
      </c>
      <c r="F60" s="13">
        <f>E60*1.05</f>
        <v/>
      </c>
      <c r="G60" s="13">
        <f>E60-F60</f>
        <v/>
      </c>
      <c r="H60" s="4">
        <f>IF(G60&gt;0,"✓ Conforme",IF(G60=0,"= Budget","⚠ Dépassement"))</f>
        <v/>
      </c>
    </row>
    <row r="61">
      <c r="A61" s="4" t="n"/>
      <c r="B61" s="4" t="inlineStr">
        <is>
          <t>Frais juridiques</t>
        </is>
      </c>
      <c r="C61" s="12" t="n">
        <v>1</v>
      </c>
      <c r="D61" s="13" t="n">
        <v>2500</v>
      </c>
      <c r="E61" s="13">
        <f>C61*D61</f>
        <v/>
      </c>
      <c r="F61" s="13">
        <f>E61*0.49</f>
        <v/>
      </c>
      <c r="G61" s="13">
        <f>E61-F61</f>
        <v/>
      </c>
      <c r="H61" s="4">
        <f>IF(G61&gt;0,"✓ Conforme",IF(G61=0,"= Budget","⚠ Dépassement"))</f>
        <v/>
      </c>
    </row>
    <row r="62">
      <c r="A62" s="14" t="n"/>
      <c r="B62" s="4" t="inlineStr">
        <is>
          <t>Frais bancaires</t>
        </is>
      </c>
      <c r="C62" s="12" t="n">
        <v>1</v>
      </c>
      <c r="D62" s="13" t="n">
        <v>800</v>
      </c>
      <c r="E62" s="13">
        <f>C62*D62</f>
        <v/>
      </c>
      <c r="F62" s="13">
        <f>E62*0.62</f>
        <v/>
      </c>
      <c r="G62" s="13">
        <f>E62-F62</f>
        <v/>
      </c>
      <c r="H62" s="4">
        <f>IF(G62&gt;0,"✓ Conforme",IF(G62=0,"= Budget","⚠ Dépassement"))</f>
        <v/>
      </c>
    </row>
    <row r="63">
      <c r="A63" s="4" t="n"/>
      <c r="B63" s="4" t="inlineStr">
        <is>
          <t>Fournitures bureau</t>
        </is>
      </c>
      <c r="C63" s="12" t="n">
        <v>1</v>
      </c>
      <c r="D63" s="13" t="n">
        <v>1200</v>
      </c>
      <c r="E63" s="13">
        <f>C63*D63</f>
        <v/>
      </c>
      <c r="F63" s="13">
        <f>E63*0.73</f>
        <v/>
      </c>
      <c r="G63" s="13">
        <f>E63-F63</f>
        <v/>
      </c>
      <c r="H63" s="4">
        <f>IF(G63&gt;0,"✓ Conforme",IF(G63=0,"= Budget","⚠ Dépassement"))</f>
        <v/>
      </c>
    </row>
    <row r="65">
      <c r="A65" s="10" t="inlineStr">
        <is>
          <t>6. HOSPITALITÉ</t>
        </is>
      </c>
      <c r="B65" s="11" t="n"/>
      <c r="C65" s="11" t="n"/>
      <c r="D65" s="11" t="n"/>
      <c r="E65" s="11" t="n"/>
      <c r="F65" s="11" t="n"/>
      <c r="G65" s="11" t="n"/>
      <c r="H65" s="11" t="n"/>
    </row>
    <row r="66">
      <c r="A66" s="14" t="n"/>
      <c r="B66" s="4" t="inlineStr">
        <is>
          <t>Catering répétitions</t>
        </is>
      </c>
      <c r="C66" s="12" t="n">
        <v>60</v>
      </c>
      <c r="D66" s="13" t="n">
        <v>150</v>
      </c>
      <c r="E66" s="13">
        <f>C66*D66</f>
        <v/>
      </c>
      <c r="F66" s="13">
        <f>E66*1.09</f>
        <v/>
      </c>
      <c r="G66" s="13">
        <f>E66-F66</f>
        <v/>
      </c>
      <c r="H66" s="4">
        <f>IF(G66&gt;0,"✓ Conforme",IF(G66=0,"= Budget","⚠ Dépassement"))</f>
        <v/>
      </c>
    </row>
    <row r="67">
      <c r="A67" s="4" t="n"/>
      <c r="B67" s="4" t="inlineStr">
        <is>
          <t>Catering représentations</t>
        </is>
      </c>
      <c r="C67" s="12" t="n">
        <v>20</v>
      </c>
      <c r="D67" s="13" t="n">
        <v>400</v>
      </c>
      <c r="E67" s="13">
        <f>C67*D67</f>
        <v/>
      </c>
      <c r="F67" s="13">
        <f>E67*0.09</f>
        <v/>
      </c>
      <c r="G67" s="13">
        <f>E67-F67</f>
        <v/>
      </c>
      <c r="H67" s="4">
        <f>IF(G67&gt;0,"✓ Conforme",IF(G67=0,"= Budget","⚠ Dépassement"))</f>
        <v/>
      </c>
    </row>
    <row r="68">
      <c r="A68" s="14" t="n"/>
      <c r="B68" s="4" t="inlineStr">
        <is>
          <t>Hébergement artistes</t>
        </is>
      </c>
      <c r="C68" s="12" t="n">
        <v>30</v>
      </c>
      <c r="D68" s="13" t="n">
        <v>120</v>
      </c>
      <c r="E68" s="13">
        <f>C68*D68</f>
        <v/>
      </c>
      <c r="F68" s="13">
        <f>E68*0.55</f>
        <v/>
      </c>
      <c r="G68" s="13">
        <f>E68-F68</f>
        <v/>
      </c>
      <c r="H68" s="4">
        <f>IF(G68&gt;0,"✓ Conforme",IF(G68=0,"= Budget","⚠ Dépassement"))</f>
        <v/>
      </c>
    </row>
    <row r="69">
      <c r="A69" s="4" t="n"/>
      <c r="B69" s="4" t="inlineStr">
        <is>
          <t>Transport artistes</t>
        </is>
      </c>
      <c r="C69" s="12" t="n">
        <v>1</v>
      </c>
      <c r="D69" s="13" t="n">
        <v>5000</v>
      </c>
      <c r="E69" s="13">
        <f>C69*D69</f>
        <v/>
      </c>
      <c r="F69" s="13">
        <f>E69*0.52</f>
        <v/>
      </c>
      <c r="G69" s="13">
        <f>E69-F69</f>
        <v/>
      </c>
      <c r="H69" s="4">
        <f>IF(G69&gt;0,"✓ Conforme",IF(G69=0,"= Budget","⚠ Dépassement"))</f>
        <v/>
      </c>
    </row>
    <row r="70">
      <c r="A70" s="14" t="n"/>
      <c r="B70" s="4" t="inlineStr">
        <is>
          <t>Réception première</t>
        </is>
      </c>
      <c r="C70" s="12" t="n">
        <v>1</v>
      </c>
      <c r="D70" s="13" t="n">
        <v>4000</v>
      </c>
      <c r="E70" s="13">
        <f>C70*D70</f>
        <v/>
      </c>
      <c r="F70" s="13">
        <f>E70*0.64</f>
        <v/>
      </c>
      <c r="G70" s="13">
        <f>E70-F70</f>
        <v/>
      </c>
      <c r="H70" s="4">
        <f>IF(G70&gt;0,"✓ Conforme",IF(G70=0,"= Budget","⚠ Dépassement"))</f>
        <v/>
      </c>
    </row>
    <row r="72">
      <c r="A72" s="10" t="inlineStr">
        <is>
          <t>7. IMPRÉVUS &amp; CONTINGENCE</t>
        </is>
      </c>
      <c r="B72" s="11" t="n"/>
      <c r="C72" s="11" t="n"/>
      <c r="D72" s="11" t="n"/>
      <c r="E72" s="11" t="n"/>
      <c r="F72" s="11" t="n"/>
      <c r="G72" s="11" t="n"/>
      <c r="H72" s="11" t="n"/>
    </row>
    <row r="73">
      <c r="A73" s="4" t="n"/>
      <c r="B73" s="4" t="inlineStr">
        <is>
          <t>Fonds de réserve</t>
        </is>
      </c>
      <c r="C73" s="12" t="n">
        <v>1</v>
      </c>
      <c r="D73" s="13" t="n">
        <v>15000</v>
      </c>
      <c r="E73" s="13">
        <f>C73*D73</f>
        <v/>
      </c>
      <c r="F73" s="13">
        <f>E73*0.91</f>
        <v/>
      </c>
      <c r="G73" s="13">
        <f>E73-F73</f>
        <v/>
      </c>
      <c r="H73" s="4">
        <f>IF(G73&gt;0,"✓ Conforme",IF(G73=0,"= Budget","⚠ Dépassement"))</f>
        <v/>
      </c>
    </row>
    <row r="74">
      <c r="A74" s="14" t="n"/>
      <c r="B74" s="4" t="inlineStr">
        <is>
          <t>Imprévus techniques</t>
        </is>
      </c>
      <c r="C74" s="12" t="n">
        <v>1</v>
      </c>
      <c r="D74" s="13" t="n">
        <v>8000</v>
      </c>
      <c r="E74" s="13">
        <f>C74*D74</f>
        <v/>
      </c>
      <c r="F74" s="13">
        <f>E74*0.36</f>
        <v/>
      </c>
      <c r="G74" s="13">
        <f>E74-F74</f>
        <v/>
      </c>
      <c r="H74" s="4">
        <f>IF(G74&gt;0,"✓ Conforme",IF(G74=0,"= Budget","⚠ Dépassement"))</f>
        <v/>
      </c>
    </row>
    <row r="75">
      <c r="A75" s="4" t="n"/>
      <c r="B75" s="4" t="inlineStr">
        <is>
          <t>Dépassements</t>
        </is>
      </c>
      <c r="C75" s="12" t="n">
        <v>1</v>
      </c>
      <c r="D75" s="13" t="n">
        <v>5000</v>
      </c>
      <c r="E75" s="13">
        <f>C75*D75</f>
        <v/>
      </c>
      <c r="F75" s="13">
        <f>E75*1.10</f>
        <v/>
      </c>
      <c r="G75" s="13">
        <f>E75-F75</f>
        <v/>
      </c>
      <c r="H75" s="4">
        <f>IF(G75&gt;0,"✓ Conforme",IF(G75=0,"= Budget","⚠ Dépassement"))</f>
        <v/>
      </c>
    </row>
    <row r="77">
      <c r="A77" s="15" t="inlineStr">
        <is>
          <t>TOTAL BUDGET</t>
        </is>
      </c>
      <c r="B77" s="15" t="n"/>
      <c r="C77" s="15" t="n"/>
      <c r="D77" s="15" t="n"/>
      <c r="E77" s="16">
        <f>SUM(E10:E76)</f>
        <v/>
      </c>
      <c r="F77" s="16">
        <f>SUM(F10:F76)</f>
        <v/>
      </c>
      <c r="G77" s="16">
        <f>E77-F77</f>
        <v/>
      </c>
      <c r="H77" s="15">
        <f>IF(G77&gt;0,"✓ Sous budget","⚠ Dépassement")</f>
        <v/>
      </c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7" t="inlineStr">
        <is>
          <t>INSTRUCTIONS D'UTILISATION</t>
        </is>
      </c>
    </row>
    <row r="2">
      <c r="A2" s="18" t="inlineStr"/>
    </row>
    <row r="3">
      <c r="A3" s="19" t="inlineStr">
        <is>
          <t>1. OBJECTIF DU MODÈLE</t>
        </is>
      </c>
    </row>
    <row r="4">
      <c r="A4" s="18" t="inlineStr">
        <is>
          <t>Ce modèle vous permet de gérer complètement le budget de votre production de spectacle.</t>
        </is>
      </c>
    </row>
    <row r="5">
      <c r="A5" s="18" t="inlineStr"/>
    </row>
    <row r="6">
      <c r="A6" s="19" t="inlineStr">
        <is>
          <t>2. INFORMATIONS GÉNÉRALES</t>
        </is>
      </c>
    </row>
    <row r="7">
      <c r="A7" s="18" t="inlineStr">
        <is>
          <t>• Remplissez les informations du spectacle en haut de la feuille Budget Principal</t>
        </is>
      </c>
    </row>
    <row r="8">
      <c r="A8" s="18" t="inlineStr">
        <is>
          <t>• Ajustez le nom, type, lieu et date selon votre projet</t>
        </is>
      </c>
    </row>
    <row r="9">
      <c r="A9" s="18" t="inlineStr"/>
    </row>
    <row r="10">
      <c r="A10" s="19" t="inlineStr">
        <is>
          <t>3. GESTION DU BUDGET</t>
        </is>
      </c>
    </row>
    <row r="11">
      <c r="A11" s="18" t="inlineStr">
        <is>
          <t>• QUANTITÉ : Nombre d'unités nécessaires</t>
        </is>
      </c>
    </row>
    <row r="12">
      <c r="A12" s="18" t="inlineStr">
        <is>
          <t>• COÛT UNITAIRE : Prix par unité</t>
        </is>
      </c>
    </row>
    <row r="13">
      <c r="A13" s="18" t="inlineStr">
        <is>
          <t>• BUDGET PRÉVU : Calculé automatiquement (Quantité × Coût)</t>
        </is>
      </c>
    </row>
    <row r="14">
      <c r="A14" s="18" t="inlineStr">
        <is>
          <t>• DÉPENSÉ : Montant réellement dépensé à ce jour</t>
        </is>
      </c>
    </row>
    <row r="15">
      <c r="A15" s="18" t="inlineStr">
        <is>
          <t>• ÉCART : Différence entre budget et dépensé</t>
        </is>
      </c>
    </row>
    <row r="16">
      <c r="A16" s="18" t="inlineStr"/>
    </row>
    <row r="17">
      <c r="A17" s="19" t="inlineStr">
        <is>
          <t>4. CATÉGORIES BUDGÉTAIRES</t>
        </is>
      </c>
    </row>
    <row r="18">
      <c r="A18" s="18" t="inlineStr">
        <is>
          <t>1. Ressources Humaines : Tous les intervenants artistiques et techniques</t>
        </is>
      </c>
    </row>
    <row r="19">
      <c r="A19" s="18" t="inlineStr">
        <is>
          <t>2. Création &amp; Production : Décors, costumes, accessoires</t>
        </is>
      </c>
    </row>
    <row r="20">
      <c r="A20" s="18" t="inlineStr">
        <is>
          <t>3. Technique &amp; Logistique : Matériel, location, transport</t>
        </is>
      </c>
    </row>
    <row r="21">
      <c r="A21" s="18" t="inlineStr">
        <is>
          <t>4. Communication &amp; Marketing : Promotion du spectacle</t>
        </is>
      </c>
    </row>
    <row r="22">
      <c r="A22" s="18" t="inlineStr">
        <is>
          <t>5. Administration : Droits, licences, frais légaux</t>
        </is>
      </c>
    </row>
    <row r="23">
      <c r="A23" s="18" t="inlineStr">
        <is>
          <t>6. Hospitalité : Catering, hébergement</t>
        </is>
      </c>
    </row>
    <row r="24">
      <c r="A24" s="18" t="inlineStr">
        <is>
          <t>7. Imprévus : Fonds de réserve (10-15% du budget)</t>
        </is>
      </c>
    </row>
    <row r="25">
      <c r="A25" s="18" t="inlineStr"/>
    </row>
    <row r="26">
      <c r="A26" s="19" t="inlineStr">
        <is>
          <t>5. SUIVI DES DÉPENSES</t>
        </is>
      </c>
    </row>
    <row r="27">
      <c r="A27" s="18" t="inlineStr">
        <is>
          <t>• Utilisez la feuille 'Suivi Dépenses' pour enregistrer chaque dépense</t>
        </is>
      </c>
    </row>
    <row r="28">
      <c r="A28" s="18" t="inlineStr">
        <is>
          <t>• Les totaux se mettent à jour automatiquement</t>
        </is>
      </c>
    </row>
    <row r="29">
      <c r="A29" s="18" t="inlineStr"/>
    </row>
    <row r="30">
      <c r="A30" s="19" t="inlineStr">
        <is>
          <t>6. INDICATEURS</t>
        </is>
      </c>
    </row>
    <row r="31">
      <c r="A31" s="18" t="inlineStr">
        <is>
          <t>✓ Conforme : Dépenses inférieures au budget</t>
        </is>
      </c>
    </row>
    <row r="32">
      <c r="A32" s="18">
        <f> Budget : Exactement au budget</f>
        <v/>
      </c>
    </row>
    <row r="33">
      <c r="A33" s="18" t="inlineStr">
        <is>
          <t>⚠ Dépassement : Dépenses supérieures au budget</t>
        </is>
      </c>
    </row>
    <row r="34">
      <c r="A34" s="18" t="inlineStr"/>
    </row>
    <row r="35">
      <c r="A35" s="19" t="inlineStr">
        <is>
          <t>7. CONSEILS</t>
        </is>
      </c>
    </row>
    <row r="36">
      <c r="A36" s="18" t="inlineStr">
        <is>
          <t>• Prévoyez 10-15% d'imprévus minimum</t>
        </is>
      </c>
    </row>
    <row r="37">
      <c r="A37" s="18" t="inlineStr">
        <is>
          <t>• Actualisez régulièrement les dépenses réelles</t>
        </is>
      </c>
    </row>
    <row r="38">
      <c r="A38" s="18" t="inlineStr">
        <is>
          <t>• Documentez tous les contrats et factures</t>
        </is>
      </c>
    </row>
    <row r="39">
      <c r="A39" s="18" t="inlineStr">
        <is>
          <t>• Anticipez les paiements à 30, 60 ou 90 jours</t>
        </is>
      </c>
    </row>
    <row r="40">
      <c r="A40" s="18" t="inlineStr">
        <is>
          <t>• Vérifiez les assurances obligatoires</t>
        </is>
      </c>
    </row>
  </sheetData>
  <mergeCells count="40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25" customWidth="1" min="3" max="3"/>
    <col width="20" customWidth="1" min="4" max="4"/>
    <col width="15" customWidth="1" min="5" max="5"/>
    <col width="15" customWidth="1" min="6" max="6"/>
    <col width="18" customWidth="1" min="7" max="7"/>
  </cols>
  <sheetData>
    <row r="1">
      <c r="A1" s="20" t="inlineStr">
        <is>
          <t>SUIVI DES DÉPENSES</t>
        </is>
      </c>
    </row>
    <row r="3">
      <c r="A3" s="21" t="inlineStr">
        <is>
          <t>DATE</t>
        </is>
      </c>
      <c r="B3" s="21" t="inlineStr">
        <is>
          <t>CATÉGORIE</t>
        </is>
      </c>
      <c r="C3" s="21" t="inlineStr">
        <is>
          <t>POSTE</t>
        </is>
      </c>
      <c r="D3" s="21" t="inlineStr">
        <is>
          <t>FOURNISSEUR</t>
        </is>
      </c>
      <c r="E3" s="21" t="inlineStr">
        <is>
          <t>N° FACTURE</t>
        </is>
      </c>
      <c r="F3" s="21" t="inlineStr">
        <is>
          <t>MONTANT</t>
        </is>
      </c>
      <c r="G3" s="21" t="inlineStr">
        <is>
          <t>STATUT PAIEMENT</t>
        </is>
      </c>
    </row>
    <row r="4">
      <c r="A4" s="7" t="n">
        <v>46003.44764196483</v>
      </c>
      <c r="B4" s="4" t="inlineStr">
        <is>
          <t>Ressources Humaines</t>
        </is>
      </c>
      <c r="C4" s="4" t="inlineStr">
        <is>
          <t>Metteur en scène</t>
        </is>
      </c>
      <c r="D4" s="4" t="inlineStr">
        <is>
          <t>Jean Dupont</t>
        </is>
      </c>
      <c r="E4" s="4" t="inlineStr">
        <is>
          <t>F-2024-001</t>
        </is>
      </c>
      <c r="F4" s="22" t="n">
        <v>5000</v>
      </c>
      <c r="G4" s="4" t="inlineStr">
        <is>
          <t>Payé</t>
        </is>
      </c>
    </row>
    <row r="5">
      <c r="A5" s="7" t="n">
        <v>46008.44764196493</v>
      </c>
      <c r="B5" s="4" t="inlineStr">
        <is>
          <t>Création &amp; Production</t>
        </is>
      </c>
      <c r="C5" s="4" t="inlineStr">
        <is>
          <t>Décors principaux</t>
        </is>
      </c>
      <c r="D5" s="4" t="inlineStr">
        <is>
          <t>Décors Pro</t>
        </is>
      </c>
      <c r="E5" s="4" t="inlineStr">
        <is>
          <t>F-2024-002</t>
        </is>
      </c>
      <c r="F5" s="22" t="n">
        <v>15000</v>
      </c>
      <c r="G5" s="4" t="inlineStr">
        <is>
          <t>Payé</t>
        </is>
      </c>
    </row>
    <row r="6">
      <c r="A6" s="7" t="n">
        <v>46013.44764196494</v>
      </c>
      <c r="B6" s="4" t="inlineStr">
        <is>
          <t>Technique &amp; Logistique</t>
        </is>
      </c>
      <c r="C6" s="4" t="inlineStr">
        <is>
          <t>Location salle répétition</t>
        </is>
      </c>
      <c r="D6" s="4" t="inlineStr">
        <is>
          <t>Espace Culture</t>
        </is>
      </c>
      <c r="E6" s="4" t="inlineStr">
        <is>
          <t>F-2024-003</t>
        </is>
      </c>
      <c r="F6" s="22" t="n">
        <v>3000</v>
      </c>
      <c r="G6" s="4" t="inlineStr">
        <is>
          <t>Payé</t>
        </is>
      </c>
    </row>
    <row r="7">
      <c r="A7" s="7" t="n">
        <v>46018.44764196495</v>
      </c>
      <c r="B7" s="4" t="inlineStr">
        <is>
          <t>Communication &amp; Marketing</t>
        </is>
      </c>
      <c r="C7" s="4" t="inlineStr">
        <is>
          <t>Création visuelle</t>
        </is>
      </c>
      <c r="D7" s="4" t="inlineStr">
        <is>
          <t>Studio Graph</t>
        </is>
      </c>
      <c r="E7" s="4" t="inlineStr">
        <is>
          <t>F-2024-004</t>
        </is>
      </c>
      <c r="F7" s="22" t="n">
        <v>3000</v>
      </c>
      <c r="G7" s="4" t="inlineStr">
        <is>
          <t>En attente</t>
        </is>
      </c>
    </row>
    <row r="8">
      <c r="A8" s="7" t="n">
        <v>46023.44764196497</v>
      </c>
      <c r="B8" s="4" t="inlineStr">
        <is>
          <t>Ressources Humaines</t>
        </is>
      </c>
      <c r="C8" s="4" t="inlineStr">
        <is>
          <t>Comédiens principaux</t>
        </is>
      </c>
      <c r="D8" s="4" t="inlineStr">
        <is>
          <t>Agence Talents</t>
        </is>
      </c>
      <c r="E8" s="4" t="inlineStr">
        <is>
          <t>F-2024-005</t>
        </is>
      </c>
      <c r="F8" s="22" t="n">
        <v>10000</v>
      </c>
      <c r="G8" s="4" t="inlineStr">
        <is>
          <t>Payé</t>
        </is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2" customWidth="1" min="5" max="5"/>
    <col width="15" customWidth="1" min="6" max="6"/>
  </cols>
  <sheetData>
    <row r="1">
      <c r="A1" s="20" t="inlineStr">
        <is>
          <t>ANALYSE BUDGÉTAIRE</t>
        </is>
      </c>
    </row>
    <row r="3">
      <c r="A3" s="23" t="inlineStr">
        <is>
          <t>Catégorie</t>
        </is>
      </c>
      <c r="B3" s="23" t="inlineStr">
        <is>
          <t>Budget Prévu</t>
        </is>
      </c>
      <c r="C3" s="23" t="inlineStr">
        <is>
          <t>Dépensé</t>
        </is>
      </c>
      <c r="D3" s="23" t="inlineStr">
        <is>
          <t>Écart</t>
        </is>
      </c>
      <c r="E3" s="23" t="inlineStr">
        <is>
          <t>% Utilisé</t>
        </is>
      </c>
      <c r="F3" s="23" t="inlineStr">
        <is>
          <t>Performance</t>
        </is>
      </c>
    </row>
    <row r="4">
      <c r="A4" s="4" t="inlineStr">
        <is>
          <t>Ressources Humaines</t>
        </is>
      </c>
      <c r="B4" s="22" t="n">
        <v>70300</v>
      </c>
      <c r="C4" s="22" t="n">
        <v>68000</v>
      </c>
      <c r="D4" s="22" t="n">
        <v>2300</v>
      </c>
      <c r="E4" s="24" t="n">
        <v>0.9672830725462305</v>
      </c>
      <c r="F4" s="4">
        <f>IF(E4&lt;0.9,"Excellent",IF(E4&lt;1,"Bon",IF(E4&lt;1.1,"Attention","Critique")))</f>
        <v/>
      </c>
    </row>
    <row r="5">
      <c r="A5" s="4" t="inlineStr">
        <is>
          <t>Création &amp; Production</t>
        </is>
      </c>
      <c r="B5" s="22" t="n">
        <v>50000</v>
      </c>
      <c r="C5" s="22" t="n">
        <v>52000</v>
      </c>
      <c r="D5" s="22" t="n">
        <v>-2000</v>
      </c>
      <c r="E5" s="24" t="n">
        <v>1.04</v>
      </c>
      <c r="F5" s="4">
        <f>IF(E5&lt;0.9,"Excellent",IF(E5&lt;1,"Bon",IF(E5&lt;1.1,"Attention","Critique")))</f>
        <v/>
      </c>
    </row>
    <row r="6">
      <c r="A6" s="4" t="inlineStr">
        <is>
          <t>Technique &amp; Logistique</t>
        </is>
      </c>
      <c r="B6" s="22" t="n">
        <v>75100</v>
      </c>
      <c r="C6" s="22" t="n">
        <v>71000</v>
      </c>
      <c r="D6" s="22" t="n">
        <v>4100</v>
      </c>
      <c r="E6" s="24" t="n">
        <v>0.9454061251664447</v>
      </c>
      <c r="F6" s="4">
        <f>IF(E6&lt;0.9,"Excellent",IF(E6&lt;1,"Bon",IF(E6&lt;1.1,"Attention","Critique")))</f>
        <v/>
      </c>
    </row>
    <row r="7">
      <c r="A7" s="4" t="inlineStr">
        <is>
          <t>Communication &amp; Marketing</t>
        </is>
      </c>
      <c r="B7" s="22" t="n">
        <v>26500</v>
      </c>
      <c r="C7" s="22" t="n">
        <v>24000</v>
      </c>
      <c r="D7" s="22" t="n">
        <v>2500</v>
      </c>
      <c r="E7" s="24" t="n">
        <v>0.9056603773584906</v>
      </c>
      <c r="F7" s="4">
        <f>IF(E7&lt;0.9,"Excellent",IF(E7&lt;1,"Bon",IF(E7&lt;1.1,"Attention","Critique")))</f>
        <v/>
      </c>
    </row>
    <row r="8">
      <c r="A8" s="4" t="inlineStr">
        <is>
          <t>Administration</t>
        </is>
      </c>
      <c r="B8" s="22" t="n">
        <v>21500</v>
      </c>
      <c r="C8" s="22" t="n">
        <v>20000</v>
      </c>
      <c r="D8" s="22" t="n">
        <v>1500</v>
      </c>
      <c r="E8" s="24" t="n">
        <v>0.9302325581395349</v>
      </c>
      <c r="F8" s="4">
        <f>IF(E8&lt;0.9,"Excellent",IF(E8&lt;1,"Bon",IF(E8&lt;1.1,"Attention","Critique")))</f>
        <v/>
      </c>
    </row>
    <row r="9">
      <c r="A9" s="4" t="inlineStr">
        <is>
          <t>Hospitalité</t>
        </is>
      </c>
      <c r="B9" s="22" t="n">
        <v>21200</v>
      </c>
      <c r="C9" s="22" t="n">
        <v>19000</v>
      </c>
      <c r="D9" s="22" t="n">
        <v>2200</v>
      </c>
      <c r="E9" s="24" t="n">
        <v>0.8962264150943396</v>
      </c>
      <c r="F9" s="4">
        <f>IF(E9&lt;0.9,"Excellent",IF(E9&lt;1,"Bon",IF(E9&lt;1.1,"Attention","Critique")))</f>
        <v/>
      </c>
    </row>
    <row r="10">
      <c r="A10" s="4" t="inlineStr">
        <is>
          <t>Imprévus</t>
        </is>
      </c>
      <c r="B10" s="22" t="n">
        <v>28000</v>
      </c>
      <c r="C10" s="22" t="n">
        <v>15000</v>
      </c>
      <c r="D10" s="22" t="n">
        <v>13000</v>
      </c>
      <c r="E10" s="24" t="n">
        <v>0.5357142857142857</v>
      </c>
      <c r="F10" s="4">
        <f>IF(E10&lt;0.9,"Excellent",IF(E10&lt;1,"Bon",IF(E10&lt;1.1,"Attention","Critique")))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2026-01-11T10:44:36Z</dcterms:created>
  <dcterms:modified xmlns:dcterms="http://purl.org/dc/terms/" xmlns:xsi="http://www.w3.org/2001/XMLSchema-instance" xsi:type="dcterms:W3CDTF">2026-01-11T10:44:36Z</dcterms:modified>
</cp:coreProperties>
</file>